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3605"/>
  </bookViews>
  <sheets>
    <sheet name="MPS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Q8" i="1"/>
  <c r="P8" i="1"/>
  <c r="O8" i="1"/>
  <c r="Q7" i="1"/>
  <c r="P7" i="1"/>
  <c r="O7" i="1"/>
  <c r="Q3" i="1"/>
  <c r="P3" i="1"/>
  <c r="O3" i="1"/>
  <c r="Q2" i="1"/>
  <c r="P2" i="1"/>
  <c r="O2" i="1"/>
  <c r="D8" i="1"/>
  <c r="M8" i="1" l="1"/>
  <c r="D18" i="1"/>
  <c r="M18" i="1" s="1"/>
  <c r="N18" i="1" s="1"/>
  <c r="D17" i="1"/>
  <c r="M17" i="1" s="1"/>
  <c r="D16" i="1"/>
  <c r="K16" i="1" s="1"/>
  <c r="D15" i="1"/>
  <c r="K15" i="1" s="1"/>
  <c r="D14" i="1"/>
  <c r="K14" i="1" s="1"/>
  <c r="D13" i="1"/>
  <c r="K13" i="1" s="1"/>
  <c r="D12" i="1"/>
  <c r="K12" i="1" s="1"/>
  <c r="D11" i="1"/>
  <c r="K11" i="1" s="1"/>
  <c r="D10" i="1"/>
  <c r="K10" i="1" s="1"/>
  <c r="D9" i="1"/>
  <c r="M9" i="1" s="1"/>
  <c r="K8" i="1"/>
  <c r="D7" i="1"/>
  <c r="K7" i="1" s="1"/>
  <c r="D6" i="1"/>
  <c r="K6" i="1" s="1"/>
  <c r="D5" i="1"/>
  <c r="K5" i="1" s="1"/>
  <c r="D4" i="1"/>
  <c r="K4" i="1" s="1"/>
  <c r="D3" i="1"/>
  <c r="K3" i="1" s="1"/>
  <c r="D2" i="1"/>
  <c r="M2" i="1" s="1"/>
  <c r="N2" i="1" s="1"/>
  <c r="M7" i="1" l="1"/>
  <c r="M12" i="1"/>
  <c r="M13" i="1"/>
  <c r="K18" i="1"/>
  <c r="K17" i="1"/>
  <c r="M16" i="1"/>
  <c r="M15" i="1"/>
  <c r="M14" i="1"/>
  <c r="M11" i="1"/>
  <c r="M10" i="1"/>
  <c r="M6" i="1"/>
  <c r="N6" i="1" s="1"/>
  <c r="M5" i="1"/>
  <c r="N5" i="1" s="1"/>
  <c r="M4" i="1"/>
  <c r="N4" i="1" s="1"/>
  <c r="M3" i="1"/>
  <c r="N3" i="1" s="1"/>
  <c r="K2" i="1"/>
  <c r="P21" i="1"/>
  <c r="K9" i="1"/>
  <c r="Q19" i="1"/>
  <c r="P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E19" i="1" l="1"/>
  <c r="G19" i="1" l="1"/>
  <c r="F19" i="1"/>
  <c r="F21" i="1" s="1"/>
  <c r="N16" i="1"/>
  <c r="N12" i="1"/>
  <c r="N10" i="1"/>
  <c r="N15" i="1"/>
  <c r="N9" i="1"/>
  <c r="N8" i="1"/>
  <c r="N13" i="1"/>
  <c r="N14" i="1"/>
  <c r="N11" i="1"/>
  <c r="N17" i="1"/>
  <c r="M19" i="1"/>
  <c r="N7" i="1"/>
</calcChain>
</file>

<file path=xl/sharedStrings.xml><?xml version="1.0" encoding="utf-8"?>
<sst xmlns="http://schemas.openxmlformats.org/spreadsheetml/2006/main" count="37" uniqueCount="28">
  <si>
    <t xml:space="preserve"> Unit ID</t>
  </si>
  <si>
    <t>Coffeen</t>
  </si>
  <si>
    <t>Duck Creek</t>
  </si>
  <si>
    <t>E D Edwards</t>
  </si>
  <si>
    <t>Havana</t>
  </si>
  <si>
    <t>Newton</t>
  </si>
  <si>
    <t xml:space="preserve"> Facility</t>
  </si>
  <si>
    <t xml:space="preserve"> 2017 SO2 (tons)</t>
  </si>
  <si>
    <t xml:space="preserve"> 2017 NOx (tons)</t>
  </si>
  <si>
    <t xml:space="preserve"> 2017 Heat Input (MMBtu)</t>
  </si>
  <si>
    <t>TOTAL</t>
  </si>
  <si>
    <t>Baldwin</t>
  </si>
  <si>
    <t>Hennepin</t>
  </si>
  <si>
    <t>Joppa</t>
  </si>
  <si>
    <t>Scenario Heat Input (MMBtu)</t>
  </si>
  <si>
    <t>Scenario SO2 (tons)</t>
  </si>
  <si>
    <t>Scenario NOx (tons)</t>
  </si>
  <si>
    <t>2017 SO2 Rate (lbs/MMBtu)</t>
  </si>
  <si>
    <t>2017 NOx Rate (lbs/MMBtu)</t>
  </si>
  <si>
    <t>2017 Capacity Factor</t>
  </si>
  <si>
    <t>Scenario Capacity Factor</t>
  </si>
  <si>
    <t>Maximum Output (MW-h)</t>
  </si>
  <si>
    <t>Operating Capacity (MW)</t>
  </si>
  <si>
    <t xml:space="preserve"> 2017 Net Generation (MW-h)</t>
  </si>
  <si>
    <t>Scenario Net Generation (MW-h)</t>
  </si>
  <si>
    <t>Scenario Increase in Output</t>
  </si>
  <si>
    <t>Joppa Scenario SO2 Total:</t>
  </si>
  <si>
    <t>SO2 Difference 2017 &amp; Scenario: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</si>
</sst>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3" fontId="16" fillId="0" borderId="0" xfId="0" applyNumberFormat="1" applyFont="1"/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16" fillId="0" borderId="10" xfId="0" applyFont="1" applyBorder="1"/>
    <xf numFmtId="3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/>
    <xf numFmtId="0" fontId="0" fillId="0" borderId="10" xfId="0" applyBorder="1" applyAlignment="1">
      <alignment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/>
    <cellStyle name="60% - Accent2" xfId="25" builtinId="36" customBuiltin="1"/>
    <cellStyle name="60% - Accent2 2" xfId="45"/>
    <cellStyle name="60% - Accent3" xfId="29" builtinId="40" customBuiltin="1"/>
    <cellStyle name="60% - Accent3 2" xfId="46"/>
    <cellStyle name="60% - Accent4" xfId="33" builtinId="44" customBuiltin="1"/>
    <cellStyle name="60% - Accent4 2" xfId="47"/>
    <cellStyle name="60% - Accent5" xfId="37" builtinId="48" customBuiltin="1"/>
    <cellStyle name="60% - Accent5 2" xfId="48"/>
    <cellStyle name="60% - Accent6" xfId="41" builtinId="52" customBuiltin="1"/>
    <cellStyle name="60% - Accent6 2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tabSelected="1" view="pageLayout" zoomScaleNormal="100" workbookViewId="0"/>
  </sheetViews>
  <sheetFormatPr defaultRowHeight="15" x14ac:dyDescent="0.25"/>
  <cols>
    <col min="1" max="1" width="11.5703125" customWidth="1"/>
    <col min="2" max="2" width="4.85546875" customWidth="1"/>
    <col min="3" max="4" width="10.7109375" style="6" customWidth="1"/>
    <col min="5" max="5" width="12.42578125" customWidth="1"/>
    <col min="6" max="6" width="8.28515625" customWidth="1"/>
    <col min="7" max="7" width="9.140625" customWidth="1"/>
    <col min="8" max="8" width="10.42578125" customWidth="1"/>
    <col min="9" max="9" width="12.5703125" customWidth="1"/>
    <col min="10" max="10" width="12.140625" customWidth="1"/>
    <col min="11" max="12" width="8.42578125" style="6" customWidth="1"/>
    <col min="13" max="13" width="11.42578125" customWidth="1"/>
    <col min="14" max="14" width="10.42578125" style="6" customWidth="1"/>
    <col min="15" max="15" width="11" customWidth="1"/>
    <col min="16" max="16" width="8.42578125" customWidth="1"/>
    <col min="17" max="17" width="8.85546875" customWidth="1"/>
    <col min="18" max="20" width="9.140625" customWidth="1"/>
  </cols>
  <sheetData>
    <row r="1" spans="1:21" ht="60" x14ac:dyDescent="0.25">
      <c r="A1" s="7" t="s">
        <v>6</v>
      </c>
      <c r="B1" s="8" t="s">
        <v>0</v>
      </c>
      <c r="C1" s="8" t="s">
        <v>22</v>
      </c>
      <c r="D1" s="8" t="s">
        <v>21</v>
      </c>
      <c r="E1" s="8" t="s">
        <v>23</v>
      </c>
      <c r="F1" s="8" t="s">
        <v>7</v>
      </c>
      <c r="G1" s="8" t="s">
        <v>8</v>
      </c>
      <c r="H1" s="8" t="s">
        <v>9</v>
      </c>
      <c r="I1" s="8" t="s">
        <v>17</v>
      </c>
      <c r="J1" s="8" t="s">
        <v>18</v>
      </c>
      <c r="K1" s="8" t="s">
        <v>19</v>
      </c>
      <c r="L1" s="8" t="s">
        <v>20</v>
      </c>
      <c r="M1" s="8" t="s">
        <v>24</v>
      </c>
      <c r="N1" s="8" t="s">
        <v>25</v>
      </c>
      <c r="O1" s="8" t="s">
        <v>14</v>
      </c>
      <c r="P1" s="8" t="s">
        <v>15</v>
      </c>
      <c r="Q1" s="8" t="s">
        <v>16</v>
      </c>
      <c r="S1" s="2"/>
      <c r="T1" s="3"/>
      <c r="U1" s="3"/>
    </row>
    <row r="2" spans="1:21" x14ac:dyDescent="0.25">
      <c r="A2" s="7" t="s">
        <v>11</v>
      </c>
      <c r="B2" s="9">
        <v>1</v>
      </c>
      <c r="C2" s="9">
        <v>590</v>
      </c>
      <c r="D2" s="10">
        <f t="shared" ref="D2:D18" si="0">C2*8760</f>
        <v>5168400</v>
      </c>
      <c r="E2" s="10">
        <v>3954327</v>
      </c>
      <c r="F2" s="10">
        <v>1504.521</v>
      </c>
      <c r="G2" s="10">
        <v>1592.865</v>
      </c>
      <c r="H2" s="10">
        <v>38824663.478</v>
      </c>
      <c r="I2" s="11">
        <f t="shared" ref="I2:I18" si="1">(F2*2000)/H2</f>
        <v>7.7503363337716347E-2</v>
      </c>
      <c r="J2" s="12">
        <f t="shared" ref="J2:J18" si="2">(G2*2000)/H2</f>
        <v>8.2054284947123732E-2</v>
      </c>
      <c r="K2" s="13">
        <f t="shared" ref="K2:K18" si="3">E2/D2</f>
        <v>0.76509693522173206</v>
      </c>
      <c r="L2" s="13">
        <v>0.85</v>
      </c>
      <c r="M2" s="10">
        <f>D2*L2</f>
        <v>4393140</v>
      </c>
      <c r="N2" s="13">
        <f t="shared" ref="N2:N18" si="4">(M2-E2)/E2</f>
        <v>0.11097033705103296</v>
      </c>
      <c r="O2" s="10">
        <f>H2*1.111</f>
        <v>43134201.124058001</v>
      </c>
      <c r="P2" s="10">
        <f>F2*1.111</f>
        <v>1671.522831</v>
      </c>
      <c r="Q2" s="10">
        <f>G3*1.111</f>
        <v>1820.254623</v>
      </c>
      <c r="S2" s="1"/>
      <c r="T2" s="1"/>
      <c r="U2" s="1"/>
    </row>
    <row r="3" spans="1:21" x14ac:dyDescent="0.25">
      <c r="A3" s="7" t="s">
        <v>11</v>
      </c>
      <c r="B3" s="9">
        <v>2</v>
      </c>
      <c r="C3" s="9">
        <v>595</v>
      </c>
      <c r="D3" s="10">
        <f t="shared" si="0"/>
        <v>5212200</v>
      </c>
      <c r="E3" s="10">
        <v>3920012</v>
      </c>
      <c r="F3" s="10">
        <v>1617.4559999999999</v>
      </c>
      <c r="G3" s="10">
        <v>1638.393</v>
      </c>
      <c r="H3" s="10">
        <v>40385823.634000003</v>
      </c>
      <c r="I3" s="11">
        <f t="shared" si="1"/>
        <v>8.0100186375215918E-2</v>
      </c>
      <c r="J3" s="12">
        <f t="shared" si="2"/>
        <v>8.1137035354191478E-2</v>
      </c>
      <c r="K3" s="13">
        <f t="shared" si="3"/>
        <v>0.7520839568704194</v>
      </c>
      <c r="L3" s="13">
        <v>0.85</v>
      </c>
      <c r="M3" s="10">
        <f t="shared" ref="M3:M18" si="5">D3*L3</f>
        <v>4430370</v>
      </c>
      <c r="N3" s="13">
        <f t="shared" si="4"/>
        <v>0.13019296879703429</v>
      </c>
      <c r="O3" s="14">
        <f>H3*1.1302</f>
        <v>45644057.871146806</v>
      </c>
      <c r="P3" s="10">
        <f>F3*1.1302</f>
        <v>1828.0487712000001</v>
      </c>
      <c r="Q3" s="10">
        <f>G3*1.1302</f>
        <v>1851.7117686000001</v>
      </c>
      <c r="S3" s="1"/>
      <c r="T3" s="1"/>
      <c r="U3" s="1"/>
    </row>
    <row r="4" spans="1:21" x14ac:dyDescent="0.25">
      <c r="A4" s="7" t="s">
        <v>1</v>
      </c>
      <c r="B4" s="9">
        <v>1</v>
      </c>
      <c r="C4" s="10">
        <v>335</v>
      </c>
      <c r="D4" s="10">
        <f t="shared" si="0"/>
        <v>2934600</v>
      </c>
      <c r="E4" s="10">
        <v>1838358</v>
      </c>
      <c r="F4" s="10">
        <v>18.757999999999999</v>
      </c>
      <c r="G4" s="10">
        <v>698.76700000000005</v>
      </c>
      <c r="H4" s="10">
        <v>19939411.515000001</v>
      </c>
      <c r="I4" s="11">
        <f t="shared" si="1"/>
        <v>1.8814998613062126E-3</v>
      </c>
      <c r="J4" s="12">
        <f t="shared" si="2"/>
        <v>7.0089029405339495E-2</v>
      </c>
      <c r="K4" s="13">
        <f t="shared" si="3"/>
        <v>0.62644244530770798</v>
      </c>
      <c r="L4" s="13">
        <v>0</v>
      </c>
      <c r="M4" s="10">
        <f t="shared" si="5"/>
        <v>0</v>
      </c>
      <c r="N4" s="13">
        <f t="shared" si="4"/>
        <v>-1</v>
      </c>
      <c r="O4" s="10">
        <v>0</v>
      </c>
      <c r="P4" s="10">
        <v>0</v>
      </c>
      <c r="Q4" s="10">
        <v>0</v>
      </c>
      <c r="S4" s="1"/>
      <c r="T4" s="1"/>
      <c r="U4" s="1"/>
    </row>
    <row r="5" spans="1:21" x14ac:dyDescent="0.25">
      <c r="A5" s="7" t="s">
        <v>1</v>
      </c>
      <c r="B5" s="9">
        <v>2</v>
      </c>
      <c r="C5" s="10">
        <v>580</v>
      </c>
      <c r="D5" s="10">
        <f t="shared" si="0"/>
        <v>5080800</v>
      </c>
      <c r="E5" s="10">
        <v>3728360</v>
      </c>
      <c r="F5" s="10">
        <v>29.076000000000001</v>
      </c>
      <c r="G5" s="10">
        <v>1782.6079999999999</v>
      </c>
      <c r="H5" s="10">
        <v>39101271.057999998</v>
      </c>
      <c r="I5" s="11">
        <f t="shared" si="1"/>
        <v>1.4872150809046982E-3</v>
      </c>
      <c r="J5" s="12">
        <f t="shared" si="2"/>
        <v>9.1179030848169015E-2</v>
      </c>
      <c r="K5" s="13">
        <f t="shared" si="3"/>
        <v>0.73381357266572189</v>
      </c>
      <c r="L5" s="13">
        <v>0</v>
      </c>
      <c r="M5" s="10">
        <f t="shared" si="5"/>
        <v>0</v>
      </c>
      <c r="N5" s="13">
        <f t="shared" si="4"/>
        <v>-1</v>
      </c>
      <c r="O5" s="10">
        <v>0</v>
      </c>
      <c r="P5" s="10">
        <v>0</v>
      </c>
      <c r="Q5" s="10">
        <v>0</v>
      </c>
      <c r="S5" s="1"/>
      <c r="T5" s="1"/>
      <c r="U5" s="1"/>
    </row>
    <row r="6" spans="1:21" x14ac:dyDescent="0.25">
      <c r="A6" s="7" t="s">
        <v>2</v>
      </c>
      <c r="B6" s="9">
        <v>1</v>
      </c>
      <c r="C6" s="10">
        <v>425</v>
      </c>
      <c r="D6" s="10">
        <f t="shared" si="0"/>
        <v>3723000</v>
      </c>
      <c r="E6" s="10">
        <v>1944069</v>
      </c>
      <c r="F6" s="10">
        <v>24.855</v>
      </c>
      <c r="G6" s="10">
        <v>1478.231</v>
      </c>
      <c r="H6" s="10">
        <v>19985699.054000001</v>
      </c>
      <c r="I6" s="11">
        <f t="shared" si="1"/>
        <v>2.4872785217913548E-3</v>
      </c>
      <c r="J6" s="12">
        <f t="shared" si="2"/>
        <v>0.14792887614347841</v>
      </c>
      <c r="K6" s="13">
        <f t="shared" si="3"/>
        <v>0.52217808219178086</v>
      </c>
      <c r="L6" s="13">
        <v>0</v>
      </c>
      <c r="M6" s="10">
        <f t="shared" si="5"/>
        <v>0</v>
      </c>
      <c r="N6" s="13">
        <f t="shared" si="4"/>
        <v>-1</v>
      </c>
      <c r="O6" s="10">
        <v>0</v>
      </c>
      <c r="P6" s="10">
        <v>0</v>
      </c>
      <c r="Q6" s="10">
        <v>0</v>
      </c>
      <c r="S6" s="1"/>
      <c r="T6" s="1"/>
      <c r="U6" s="1"/>
    </row>
    <row r="7" spans="1:21" x14ac:dyDescent="0.25">
      <c r="A7" s="7" t="s">
        <v>3</v>
      </c>
      <c r="B7" s="9">
        <v>2</v>
      </c>
      <c r="C7" s="10">
        <v>255</v>
      </c>
      <c r="D7" s="10">
        <f t="shared" si="0"/>
        <v>2233800</v>
      </c>
      <c r="E7" s="10">
        <v>1195940</v>
      </c>
      <c r="F7" s="10">
        <v>2726.0340000000001</v>
      </c>
      <c r="G7" s="10">
        <v>1318.3789999999999</v>
      </c>
      <c r="H7" s="10">
        <v>13212705.471999999</v>
      </c>
      <c r="I7" s="11">
        <f t="shared" si="1"/>
        <v>0.41263827545038917</v>
      </c>
      <c r="J7" s="12">
        <f t="shared" si="2"/>
        <v>0.19956230808200068</v>
      </c>
      <c r="K7" s="13">
        <f t="shared" si="3"/>
        <v>0.53538365117736597</v>
      </c>
      <c r="L7" s="13">
        <v>0.75</v>
      </c>
      <c r="M7" s="10">
        <f t="shared" si="5"/>
        <v>1675350</v>
      </c>
      <c r="N7" s="13">
        <f t="shared" si="4"/>
        <v>0.40086459186915729</v>
      </c>
      <c r="O7" s="10">
        <f>H7*1.4009</f>
        <v>18509679.095724799</v>
      </c>
      <c r="P7" s="10">
        <f>F7*1.4009</f>
        <v>3818.9010306000005</v>
      </c>
      <c r="Q7" s="10">
        <f>G7*1.4009</f>
        <v>1846.9171411</v>
      </c>
      <c r="S7" s="1"/>
      <c r="T7" s="1"/>
      <c r="U7" s="1"/>
    </row>
    <row r="8" spans="1:21" x14ac:dyDescent="0.25">
      <c r="A8" s="7" t="s">
        <v>3</v>
      </c>
      <c r="B8" s="9">
        <v>3</v>
      </c>
      <c r="C8" s="10">
        <v>330</v>
      </c>
      <c r="D8" s="10">
        <f t="shared" si="0"/>
        <v>2890800</v>
      </c>
      <c r="E8" s="10">
        <v>1908769</v>
      </c>
      <c r="F8" s="10">
        <v>3665.5390000000002</v>
      </c>
      <c r="G8" s="10">
        <v>787.41300000000001</v>
      </c>
      <c r="H8" s="10">
        <v>17698111.936000001</v>
      </c>
      <c r="I8" s="11">
        <f t="shared" si="1"/>
        <v>0.41422938370548679</v>
      </c>
      <c r="J8" s="12">
        <f t="shared" si="2"/>
        <v>8.8982712150024457E-2</v>
      </c>
      <c r="K8" s="13">
        <f t="shared" si="3"/>
        <v>0.66029092292790925</v>
      </c>
      <c r="L8" s="13">
        <v>0.8</v>
      </c>
      <c r="M8" s="10">
        <f t="shared" si="5"/>
        <v>2312640</v>
      </c>
      <c r="N8" s="13">
        <f t="shared" si="4"/>
        <v>0.21158715381484086</v>
      </c>
      <c r="O8" s="10">
        <f>H8*1.2116</f>
        <v>21443032.4216576</v>
      </c>
      <c r="P8" s="10">
        <f>F8*1.2116</f>
        <v>4441.1670524000001</v>
      </c>
      <c r="Q8" s="10">
        <f>G8*1.2116</f>
        <v>954.02959080000005</v>
      </c>
      <c r="S8" s="1"/>
      <c r="T8" s="1"/>
      <c r="U8" s="1"/>
    </row>
    <row r="9" spans="1:21" x14ac:dyDescent="0.25">
      <c r="A9" s="7" t="s">
        <v>4</v>
      </c>
      <c r="B9" s="9">
        <v>9</v>
      </c>
      <c r="C9" s="10">
        <v>434</v>
      </c>
      <c r="D9" s="10">
        <f t="shared" si="0"/>
        <v>3801840</v>
      </c>
      <c r="E9" s="10">
        <v>2525569</v>
      </c>
      <c r="F9" s="10">
        <v>1089.8040000000001</v>
      </c>
      <c r="G9" s="10">
        <v>1240.2370000000001</v>
      </c>
      <c r="H9" s="10">
        <v>30567132.892999999</v>
      </c>
      <c r="I9" s="11">
        <f t="shared" si="1"/>
        <v>7.1305608138967441E-2</v>
      </c>
      <c r="J9" s="12">
        <f t="shared" si="2"/>
        <v>8.1148402392951902E-2</v>
      </c>
      <c r="K9" s="13">
        <f t="shared" si="3"/>
        <v>0.66430175914820189</v>
      </c>
      <c r="L9" s="13">
        <v>0.8</v>
      </c>
      <c r="M9" s="10">
        <f t="shared" si="5"/>
        <v>3041472</v>
      </c>
      <c r="N9" s="13">
        <f t="shared" si="4"/>
        <v>0.20427198781739878</v>
      </c>
      <c r="O9" s="10">
        <f>H9*1.2043</f>
        <v>36811998.143039897</v>
      </c>
      <c r="P9" s="10">
        <f>F9*1.2043</f>
        <v>1312.4509571999999</v>
      </c>
      <c r="Q9" s="10">
        <f>G9*1.2043</f>
        <v>1493.6174191</v>
      </c>
      <c r="S9" s="1"/>
      <c r="T9" s="1"/>
      <c r="U9" s="1"/>
    </row>
    <row r="10" spans="1:21" x14ac:dyDescent="0.25">
      <c r="A10" s="7" t="s">
        <v>12</v>
      </c>
      <c r="B10" s="9">
        <v>1</v>
      </c>
      <c r="C10" s="10">
        <v>68</v>
      </c>
      <c r="D10" s="10">
        <f t="shared" si="0"/>
        <v>595680</v>
      </c>
      <c r="E10" s="10">
        <v>398342</v>
      </c>
      <c r="F10" s="10">
        <v>1123.4670000000001</v>
      </c>
      <c r="G10" s="10">
        <v>327.48399999999998</v>
      </c>
      <c r="H10" s="10">
        <v>4508524.0789999999</v>
      </c>
      <c r="I10" s="11">
        <f t="shared" si="1"/>
        <v>0.4983746256265697</v>
      </c>
      <c r="J10" s="12">
        <f t="shared" si="2"/>
        <v>0.14527326205281646</v>
      </c>
      <c r="K10" s="13">
        <f t="shared" si="3"/>
        <v>0.66871810367982809</v>
      </c>
      <c r="L10" s="13">
        <v>0.8</v>
      </c>
      <c r="M10" s="10">
        <f t="shared" si="5"/>
        <v>476544</v>
      </c>
      <c r="N10" s="13">
        <f t="shared" si="4"/>
        <v>0.19631874118220022</v>
      </c>
      <c r="O10" s="10">
        <f>H10*1.1963</f>
        <v>5393547.3557076994</v>
      </c>
      <c r="P10" s="10">
        <f>F10*1.1963</f>
        <v>1344.0035720999999</v>
      </c>
      <c r="Q10" s="10">
        <f>G10*1.1963</f>
        <v>391.76910919999995</v>
      </c>
      <c r="S10" s="1"/>
      <c r="T10" s="1"/>
      <c r="U10" s="1"/>
    </row>
    <row r="11" spans="1:21" x14ac:dyDescent="0.25">
      <c r="A11" s="7" t="s">
        <v>12</v>
      </c>
      <c r="B11" s="9">
        <v>2</v>
      </c>
      <c r="C11" s="10">
        <v>226</v>
      </c>
      <c r="D11" s="10">
        <f t="shared" si="0"/>
        <v>1979760</v>
      </c>
      <c r="E11" s="10">
        <v>1268067</v>
      </c>
      <c r="F11" s="10">
        <v>3495.1770000000001</v>
      </c>
      <c r="G11" s="10">
        <v>1030.2439999999999</v>
      </c>
      <c r="H11" s="10">
        <v>14201401.893999999</v>
      </c>
      <c r="I11" s="11">
        <f t="shared" si="1"/>
        <v>0.49222985534642039</v>
      </c>
      <c r="J11" s="12">
        <f t="shared" si="2"/>
        <v>0.14509046468648581</v>
      </c>
      <c r="K11" s="13">
        <f t="shared" si="3"/>
        <v>0.64051551703236753</v>
      </c>
      <c r="L11" s="13">
        <v>0.8</v>
      </c>
      <c r="M11" s="10">
        <f t="shared" si="5"/>
        <v>1583808</v>
      </c>
      <c r="N11" s="13">
        <f t="shared" si="4"/>
        <v>0.24899394117187815</v>
      </c>
      <c r="O11" s="10">
        <f>H11*1.249</f>
        <v>17737550.965606</v>
      </c>
      <c r="P11" s="10">
        <f>F11*1.249</f>
        <v>4365.4760730000007</v>
      </c>
      <c r="Q11" s="10">
        <f>G11*1.249</f>
        <v>1286.774756</v>
      </c>
      <c r="S11" s="1"/>
      <c r="T11" s="1"/>
      <c r="U11" s="1"/>
    </row>
    <row r="12" spans="1:21" x14ac:dyDescent="0.25">
      <c r="A12" s="7" t="s">
        <v>13</v>
      </c>
      <c r="B12" s="9">
        <v>1</v>
      </c>
      <c r="C12" s="10">
        <v>167</v>
      </c>
      <c r="D12" s="10">
        <f t="shared" si="0"/>
        <v>1462920</v>
      </c>
      <c r="E12" s="10">
        <v>805775</v>
      </c>
      <c r="F12" s="10">
        <v>2157.6709999999998</v>
      </c>
      <c r="G12" s="10">
        <v>521.57299999999998</v>
      </c>
      <c r="H12" s="10">
        <v>8983252.8550000004</v>
      </c>
      <c r="I12" s="11">
        <f t="shared" si="1"/>
        <v>0.48037632577581496</v>
      </c>
      <c r="J12" s="12">
        <f t="shared" si="2"/>
        <v>0.11612118870943212</v>
      </c>
      <c r="K12" s="13">
        <f t="shared" si="3"/>
        <v>0.55079908675799083</v>
      </c>
      <c r="L12" s="13">
        <v>0.75</v>
      </c>
      <c r="M12" s="10">
        <f t="shared" si="5"/>
        <v>1097190</v>
      </c>
      <c r="N12" s="13">
        <f t="shared" si="4"/>
        <v>0.36165803108808292</v>
      </c>
      <c r="O12" s="10">
        <f>H12*1.3617</f>
        <v>12232495.4126535</v>
      </c>
      <c r="P12" s="10">
        <f>F12*1.3617</f>
        <v>2938.1006006999996</v>
      </c>
      <c r="Q12" s="10">
        <f>G12*1.3617</f>
        <v>710.22595409999997</v>
      </c>
      <c r="S12" s="1"/>
      <c r="T12" s="1"/>
      <c r="U12" s="1"/>
    </row>
    <row r="13" spans="1:21" x14ac:dyDescent="0.25">
      <c r="A13" s="7" t="s">
        <v>13</v>
      </c>
      <c r="B13" s="9">
        <v>2</v>
      </c>
      <c r="C13" s="10">
        <v>167</v>
      </c>
      <c r="D13" s="10">
        <f t="shared" si="0"/>
        <v>1462920</v>
      </c>
      <c r="E13" s="10">
        <v>741161</v>
      </c>
      <c r="F13" s="10">
        <v>1955.479</v>
      </c>
      <c r="G13" s="10">
        <v>487.38099999999997</v>
      </c>
      <c r="H13" s="10">
        <v>8140885.8890000004</v>
      </c>
      <c r="I13" s="11">
        <f t="shared" si="1"/>
        <v>0.48040938705264291</v>
      </c>
      <c r="J13" s="12">
        <f t="shared" si="2"/>
        <v>0.11973660032713425</v>
      </c>
      <c r="K13" s="13">
        <f t="shared" si="3"/>
        <v>0.50663125803188147</v>
      </c>
      <c r="L13" s="13">
        <v>0.75</v>
      </c>
      <c r="M13" s="10">
        <f t="shared" si="5"/>
        <v>1097190</v>
      </c>
      <c r="N13" s="13">
        <f t="shared" si="4"/>
        <v>0.48036661400154623</v>
      </c>
      <c r="O13" s="10">
        <f>H13*1.4804</f>
        <v>12051767.4700756</v>
      </c>
      <c r="P13" s="10">
        <f>F13*1.4804</f>
        <v>2894.8911115999999</v>
      </c>
      <c r="Q13" s="10">
        <f>G13*1.4804</f>
        <v>721.51883239999995</v>
      </c>
      <c r="S13" s="1"/>
      <c r="T13" s="1"/>
      <c r="U13" s="1"/>
    </row>
    <row r="14" spans="1:21" x14ac:dyDescent="0.25">
      <c r="A14" s="7" t="s">
        <v>13</v>
      </c>
      <c r="B14" s="9">
        <v>3</v>
      </c>
      <c r="C14" s="10">
        <v>167</v>
      </c>
      <c r="D14" s="10">
        <f t="shared" si="0"/>
        <v>1462920</v>
      </c>
      <c r="E14" s="10">
        <v>633899</v>
      </c>
      <c r="F14" s="10">
        <v>1701.9590000000001</v>
      </c>
      <c r="G14" s="10">
        <v>399.98599999999999</v>
      </c>
      <c r="H14" s="10">
        <v>7034467.2949999999</v>
      </c>
      <c r="I14" s="11">
        <f t="shared" si="1"/>
        <v>0.4838913676405116</v>
      </c>
      <c r="J14" s="12">
        <f t="shared" si="2"/>
        <v>0.11372175979389496</v>
      </c>
      <c r="K14" s="13">
        <f t="shared" si="3"/>
        <v>0.43331077570885623</v>
      </c>
      <c r="L14" s="13">
        <v>0.75</v>
      </c>
      <c r="M14" s="10">
        <f t="shared" si="5"/>
        <v>1097190</v>
      </c>
      <c r="N14" s="13">
        <f t="shared" si="4"/>
        <v>0.73085933248041091</v>
      </c>
      <c r="O14" s="10">
        <f>H14*1.7309</f>
        <v>12175959.440915501</v>
      </c>
      <c r="P14" s="10">
        <f>F14*1.7309</f>
        <v>2945.9208331000004</v>
      </c>
      <c r="Q14" s="10">
        <f>G14*1.7309</f>
        <v>692.33576740000001</v>
      </c>
      <c r="S14" s="1"/>
      <c r="T14" s="1"/>
      <c r="U14" s="1"/>
    </row>
    <row r="15" spans="1:21" x14ac:dyDescent="0.25">
      <c r="A15" s="7" t="s">
        <v>13</v>
      </c>
      <c r="B15" s="9">
        <v>4</v>
      </c>
      <c r="C15" s="10">
        <v>167</v>
      </c>
      <c r="D15" s="10">
        <f t="shared" si="0"/>
        <v>1462920</v>
      </c>
      <c r="E15" s="10">
        <v>495584</v>
      </c>
      <c r="F15" s="10">
        <v>1265.52</v>
      </c>
      <c r="G15" s="10">
        <v>304.12799999999999</v>
      </c>
      <c r="H15" s="10">
        <v>5244524.6739999996</v>
      </c>
      <c r="I15" s="11">
        <f t="shared" si="1"/>
        <v>0.48260617640865733</v>
      </c>
      <c r="J15" s="12">
        <f t="shared" si="2"/>
        <v>0.11597924269771488</v>
      </c>
      <c r="K15" s="13">
        <f t="shared" si="3"/>
        <v>0.33876356875290514</v>
      </c>
      <c r="L15" s="13">
        <v>0.75</v>
      </c>
      <c r="M15" s="10">
        <f t="shared" si="5"/>
        <v>1097190</v>
      </c>
      <c r="N15" s="13">
        <f t="shared" si="4"/>
        <v>1.2139334603215599</v>
      </c>
      <c r="O15" s="10">
        <f>H15*2.2139</f>
        <v>11610853.175768601</v>
      </c>
      <c r="P15" s="10">
        <f>F15*2.2139</f>
        <v>2801.7347280000004</v>
      </c>
      <c r="Q15" s="10">
        <f>G15*2.2139</f>
        <v>673.30897920000007</v>
      </c>
      <c r="S15" s="1"/>
      <c r="T15" s="1"/>
      <c r="U15" s="1"/>
    </row>
    <row r="16" spans="1:21" x14ac:dyDescent="0.25">
      <c r="A16" s="7" t="s">
        <v>13</v>
      </c>
      <c r="B16" s="9">
        <v>5</v>
      </c>
      <c r="C16" s="10">
        <v>167</v>
      </c>
      <c r="D16" s="10">
        <f t="shared" si="0"/>
        <v>1462920</v>
      </c>
      <c r="E16" s="10">
        <v>573991</v>
      </c>
      <c r="F16" s="10">
        <v>1547.442</v>
      </c>
      <c r="G16" s="10">
        <v>352.94299999999998</v>
      </c>
      <c r="H16" s="10">
        <v>6357586.8899999997</v>
      </c>
      <c r="I16" s="11">
        <f t="shared" si="1"/>
        <v>0.48680168333491708</v>
      </c>
      <c r="J16" s="12">
        <f t="shared" si="2"/>
        <v>0.11103049194818004</v>
      </c>
      <c r="K16" s="13">
        <f t="shared" si="3"/>
        <v>0.39235980094605311</v>
      </c>
      <c r="L16" s="13">
        <v>0.75</v>
      </c>
      <c r="M16" s="10">
        <f t="shared" si="5"/>
        <v>1097190</v>
      </c>
      <c r="N16" s="13">
        <f t="shared" si="4"/>
        <v>0.91151080766074732</v>
      </c>
      <c r="O16" s="10">
        <f>H16*1.9115</f>
        <v>12152527.340234999</v>
      </c>
      <c r="P16" s="10">
        <f>F16*1.9115</f>
        <v>2957.935383</v>
      </c>
      <c r="Q16" s="10">
        <f>G16*1.9115</f>
        <v>674.65054449999991</v>
      </c>
      <c r="S16" s="1"/>
      <c r="T16" s="1"/>
      <c r="U16" s="1"/>
    </row>
    <row r="17" spans="1:21" x14ac:dyDescent="0.25">
      <c r="A17" s="7" t="s">
        <v>13</v>
      </c>
      <c r="B17" s="9">
        <v>6</v>
      </c>
      <c r="C17" s="10">
        <v>167</v>
      </c>
      <c r="D17" s="10">
        <f t="shared" si="0"/>
        <v>1462920</v>
      </c>
      <c r="E17" s="10">
        <v>663844</v>
      </c>
      <c r="F17" s="10">
        <v>1782.068</v>
      </c>
      <c r="G17" s="10">
        <v>401.46800000000002</v>
      </c>
      <c r="H17" s="10">
        <v>7292448.7529999996</v>
      </c>
      <c r="I17" s="11">
        <f t="shared" si="1"/>
        <v>0.48874337286686725</v>
      </c>
      <c r="J17" s="12">
        <f t="shared" si="2"/>
        <v>0.11010512753616331</v>
      </c>
      <c r="K17" s="13">
        <f t="shared" si="3"/>
        <v>0.45378011101085503</v>
      </c>
      <c r="L17" s="13">
        <v>0.75</v>
      </c>
      <c r="M17" s="10">
        <f t="shared" si="5"/>
        <v>1097190</v>
      </c>
      <c r="N17" s="13">
        <f t="shared" si="4"/>
        <v>0.65278288272545959</v>
      </c>
      <c r="O17" s="10">
        <f>H17*1.6528</f>
        <v>12052959.2989584</v>
      </c>
      <c r="P17" s="10">
        <f>F17*1.6528</f>
        <v>2945.4019904000002</v>
      </c>
      <c r="Q17" s="10">
        <f>G17*1.6528</f>
        <v>663.54631040000004</v>
      </c>
      <c r="S17" s="1"/>
      <c r="T17" s="1"/>
      <c r="U17" s="1"/>
    </row>
    <row r="18" spans="1:21" x14ac:dyDescent="0.25">
      <c r="A18" s="7" t="s">
        <v>5</v>
      </c>
      <c r="B18" s="9">
        <v>1</v>
      </c>
      <c r="C18" s="9">
        <v>615</v>
      </c>
      <c r="D18" s="10">
        <f t="shared" si="0"/>
        <v>5387400</v>
      </c>
      <c r="E18" s="10">
        <v>3281532</v>
      </c>
      <c r="F18" s="10">
        <v>4873.3</v>
      </c>
      <c r="G18" s="10">
        <v>1538.2470000000001</v>
      </c>
      <c r="H18" s="10">
        <v>33298297.767000001</v>
      </c>
      <c r="I18" s="11">
        <f t="shared" si="1"/>
        <v>0.29270565324991737</v>
      </c>
      <c r="J18" s="12">
        <f t="shared" si="2"/>
        <v>9.2391930107878772E-2</v>
      </c>
      <c r="K18" s="13">
        <f t="shared" si="3"/>
        <v>0.60911237331551393</v>
      </c>
      <c r="L18" s="13">
        <v>0.8</v>
      </c>
      <c r="M18" s="10">
        <f t="shared" si="5"/>
        <v>4309920</v>
      </c>
      <c r="N18" s="13">
        <f t="shared" si="4"/>
        <v>0.31338655237858415</v>
      </c>
      <c r="O18" s="10">
        <f>H18*1.3134</f>
        <v>43733984.287177801</v>
      </c>
      <c r="P18" s="10">
        <f>F18*1.3134</f>
        <v>6400.5922199999995</v>
      </c>
      <c r="Q18" s="10">
        <f>G18*1.3134</f>
        <v>2020.3336098</v>
      </c>
      <c r="S18" s="1"/>
      <c r="T18" s="1"/>
      <c r="U18" s="1"/>
    </row>
    <row r="19" spans="1:21" x14ac:dyDescent="0.25">
      <c r="A19" s="15" t="s">
        <v>10</v>
      </c>
      <c r="B19" s="7"/>
      <c r="C19" s="7"/>
      <c r="D19" s="7"/>
      <c r="E19" s="16">
        <f>SUM(E2:E18)</f>
        <v>29877599</v>
      </c>
      <c r="F19" s="16">
        <f>SUM(F2:F18)</f>
        <v>30578.125999999997</v>
      </c>
      <c r="G19" s="16">
        <f>SUM(G2:G18)</f>
        <v>15900.347000000002</v>
      </c>
      <c r="H19" s="15"/>
      <c r="I19" s="15"/>
      <c r="J19" s="15"/>
      <c r="K19" s="15"/>
      <c r="L19" s="15"/>
      <c r="M19" s="16">
        <f>SUM(M2:M18)</f>
        <v>28806384</v>
      </c>
      <c r="N19" s="16"/>
      <c r="O19" s="15"/>
      <c r="P19" s="16">
        <f>SUM(P2:P18)</f>
        <v>42666.147154300001</v>
      </c>
      <c r="Q19" s="16">
        <f>SUM(Q2:Q18)</f>
        <v>15800.994405600002</v>
      </c>
      <c r="S19" s="4"/>
      <c r="T19" s="5"/>
      <c r="U19" s="5"/>
    </row>
    <row r="20" spans="1:21" x14ac:dyDescent="0.25">
      <c r="Q20" s="1"/>
    </row>
    <row r="21" spans="1:21" ht="60" x14ac:dyDescent="0.25">
      <c r="E21" s="18" t="s">
        <v>27</v>
      </c>
      <c r="F21" s="17">
        <f>P19-F19</f>
        <v>12088.021154300004</v>
      </c>
      <c r="G21" s="1"/>
      <c r="N21" s="1"/>
      <c r="O21" s="18" t="s">
        <v>26</v>
      </c>
      <c r="P21" s="17">
        <f>SUM(P12:P17)</f>
        <v>17483.984646800003</v>
      </c>
    </row>
    <row r="23" spans="1:21" x14ac:dyDescent="0.25">
      <c r="Q23" s="1"/>
    </row>
    <row r="30" spans="1:21" x14ac:dyDescent="0.25">
      <c r="E30" s="1"/>
    </row>
  </sheetData>
  <pageMargins left="0.7" right="0.7" top="0.75" bottom="0.75" header="0.3" footer="0.3"/>
  <pageSetup scale="72" orientation="landscape" horizontalDpi="1200" verticalDpi="1200" r:id="rId1"/>
  <headerFooter>
    <oddHeader>&amp;C
Exhibit JPG-2: Excel Worksheet of James P. Gignac - Pre-Filed Testimony 12/10/18 - R-18-20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MPS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2018-12-10T17:22:45Z</dcterms:created>
  <dcterms:modified xsi:type="dcterms:W3CDTF">2018-12-10T22:05:25Z</dcterms:modified>
</cp:coreProperties>
</file>